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24" yWindow="1680" windowWidth="23040" windowHeight="969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0" i="1" l="1"/>
  <c r="I20" i="1"/>
  <c r="I21" i="1" s="1"/>
  <c r="E20" i="1"/>
  <c r="F20" i="1"/>
  <c r="G20" i="1"/>
  <c r="H20" i="1"/>
  <c r="D20" i="1"/>
  <c r="D21" i="1" s="1"/>
  <c r="M38" i="1"/>
  <c r="N38" i="1" s="1"/>
  <c r="O38" i="1" s="1"/>
  <c r="P38" i="1" s="1"/>
  <c r="Q38" i="1" s="1"/>
  <c r="R38" i="1" s="1"/>
  <c r="M37" i="1"/>
  <c r="C22" i="1"/>
  <c r="L20" i="1" s="1"/>
  <c r="F21" i="1" l="1"/>
  <c r="M39" i="1"/>
  <c r="N39" i="1" s="1"/>
  <c r="O39" i="1" s="1"/>
  <c r="P39" i="1" s="1"/>
  <c r="Q39" i="1" s="1"/>
  <c r="R39" i="1" s="1"/>
  <c r="N37" i="1"/>
  <c r="O37" i="1" s="1"/>
  <c r="P37" i="1" s="1"/>
  <c r="Q37" i="1" s="1"/>
  <c r="R37" i="1" s="1"/>
  <c r="D22" i="1"/>
  <c r="R40" i="1" l="1"/>
  <c r="M40" i="1"/>
  <c r="N40" i="1" s="1"/>
  <c r="O40" i="1" s="1"/>
  <c r="H21" i="1"/>
  <c r="E21" i="1"/>
  <c r="M20" i="1"/>
  <c r="E22" i="1"/>
  <c r="D23" i="1"/>
  <c r="D24" i="1" s="1"/>
  <c r="G21" i="1" l="1"/>
  <c r="D25" i="1"/>
  <c r="M25" i="1" s="1"/>
  <c r="N20" i="1"/>
  <c r="E23" i="1"/>
  <c r="E24" i="1" s="1"/>
  <c r="F22" i="1"/>
  <c r="P40" i="1"/>
  <c r="E25" i="1" l="1"/>
  <c r="N25" i="1" s="1"/>
  <c r="O20" i="1"/>
  <c r="G22" i="1"/>
  <c r="F23" i="1"/>
  <c r="F24" i="1" s="1"/>
  <c r="D26" i="1"/>
  <c r="Q40" i="1"/>
  <c r="E26" i="1" l="1"/>
  <c r="E30" i="1" s="1"/>
  <c r="F25" i="1"/>
  <c r="O25" i="1" s="1"/>
  <c r="H22" i="1"/>
  <c r="P20" i="1"/>
  <c r="G23" i="1"/>
  <c r="G24" i="1" s="1"/>
  <c r="G25" i="1" l="1"/>
  <c r="P25" i="1" s="1"/>
  <c r="I22" i="1"/>
  <c r="Q20" i="1"/>
  <c r="H23" i="1"/>
  <c r="H24" i="1" s="1"/>
  <c r="F26" i="1"/>
  <c r="F30" i="1" s="1"/>
  <c r="H25" i="1" l="1"/>
  <c r="Q25" i="1" s="1"/>
  <c r="I23" i="1"/>
  <c r="I24" i="1" s="1"/>
  <c r="R20" i="1"/>
  <c r="G26" i="1"/>
  <c r="G30" i="1" s="1"/>
  <c r="I25" i="1" l="1"/>
  <c r="R25" i="1" s="1"/>
  <c r="H26" i="1"/>
  <c r="I26" i="1" l="1"/>
  <c r="H29" i="1" l="1"/>
  <c r="H32" i="1" s="1"/>
  <c r="Q35" i="1" s="1"/>
  <c r="R35" i="1" l="1"/>
  <c r="R26" i="1" s="1"/>
  <c r="R21" i="1"/>
  <c r="R22" i="1" s="1"/>
  <c r="R23" i="1" s="1"/>
  <c r="R24" i="1" s="1"/>
  <c r="H30" i="1"/>
  <c r="C32" i="1" s="1"/>
  <c r="G32" i="1" l="1"/>
  <c r="P35" i="1" s="1"/>
  <c r="Q26" i="1" s="1"/>
  <c r="D32" i="1"/>
  <c r="M35" i="1" s="1"/>
  <c r="N21" i="1" s="1"/>
  <c r="N22" i="1" s="1"/>
  <c r="N23" i="1" s="1"/>
  <c r="N24" i="1" s="1"/>
  <c r="C34" i="1"/>
  <c r="L35" i="1" s="1"/>
  <c r="M21" i="1" s="1"/>
  <c r="M22" i="1" s="1"/>
  <c r="M23" i="1" s="1"/>
  <c r="M24" i="1" s="1"/>
  <c r="R27" i="1"/>
  <c r="Q29" i="1" s="1"/>
  <c r="E32" i="1"/>
  <c r="N35" i="1" s="1"/>
  <c r="O21" i="1" s="1"/>
  <c r="O22" i="1" s="1"/>
  <c r="O23" i="1" s="1"/>
  <c r="O24" i="1" s="1"/>
  <c r="F32" i="1"/>
  <c r="O35" i="1" s="1"/>
  <c r="P26" i="1" s="1"/>
  <c r="Q21" i="1" l="1"/>
  <c r="Q22" i="1" s="1"/>
  <c r="Q23" i="1" s="1"/>
  <c r="Q24" i="1" s="1"/>
  <c r="Q27" i="1" s="1"/>
  <c r="Q30" i="1" s="1"/>
  <c r="N26" i="1"/>
  <c r="N27" i="1" s="1"/>
  <c r="N30" i="1" s="1"/>
  <c r="P21" i="1"/>
  <c r="P22" i="1" s="1"/>
  <c r="P23" i="1" s="1"/>
  <c r="P24" i="1" s="1"/>
  <c r="P27" i="1" s="1"/>
  <c r="P30" i="1" s="1"/>
  <c r="O26" i="1"/>
  <c r="O27" i="1" s="1"/>
  <c r="O30" i="1" s="1"/>
  <c r="M26" i="1"/>
  <c r="M27" i="1" s="1"/>
  <c r="M30" i="1" s="1"/>
  <c r="C33" i="1"/>
  <c r="L32" i="1" l="1"/>
</calcChain>
</file>

<file path=xl/sharedStrings.xml><?xml version="1.0" encoding="utf-8"?>
<sst xmlns="http://schemas.openxmlformats.org/spreadsheetml/2006/main" count="43" uniqueCount="37">
  <si>
    <t>http://breakingdownfinance.com</t>
  </si>
  <si>
    <t>Inputs</t>
  </si>
  <si>
    <t>Terminal Year</t>
  </si>
  <si>
    <t>Reinvestment rate</t>
  </si>
  <si>
    <t>EBIT</t>
  </si>
  <si>
    <t>Taxes</t>
  </si>
  <si>
    <t>EBIT(1-t)</t>
  </si>
  <si>
    <t xml:space="preserve"> - Reinvestment</t>
  </si>
  <si>
    <t>FCFF</t>
  </si>
  <si>
    <t>Terminal Value</t>
  </si>
  <si>
    <t>Present Value</t>
  </si>
  <si>
    <t>Value of Firm =</t>
  </si>
  <si>
    <t>Value of Equity =</t>
  </si>
  <si>
    <t>Value of Debt =</t>
  </si>
  <si>
    <t>Interest Exp</t>
  </si>
  <si>
    <t>EBT</t>
  </si>
  <si>
    <t>Net Income</t>
  </si>
  <si>
    <t xml:space="preserve"> + New Debt Issued</t>
  </si>
  <si>
    <t>FCFE</t>
  </si>
  <si>
    <t>Terminal Value of Equity</t>
  </si>
  <si>
    <t>Capital Structure</t>
  </si>
  <si>
    <t>Debt at end of year</t>
  </si>
  <si>
    <t>Cost of Equity</t>
  </si>
  <si>
    <t>Pre-tax Cost of Debt</t>
  </si>
  <si>
    <t>After-tax Cost of Debt</t>
  </si>
  <si>
    <t>Cost of Capital</t>
  </si>
  <si>
    <t xml:space="preserve">Earnings before interest and taxes </t>
  </si>
  <si>
    <t xml:space="preserve">Tax rate </t>
  </si>
  <si>
    <t xml:space="preserve">Debt ratio for the firm </t>
  </si>
  <si>
    <t xml:space="preserve">Cost of equity </t>
  </si>
  <si>
    <t xml:space="preserve">Pre-tax cost of debt </t>
  </si>
  <si>
    <t>ROC in stable growth</t>
  </si>
  <si>
    <t>ROC in high growth</t>
  </si>
  <si>
    <t xml:space="preserve">E(growth after year 5) </t>
  </si>
  <si>
    <t>E(growth for next 5 years)</t>
  </si>
  <si>
    <t>E(Growth rate)</t>
  </si>
  <si>
    <t>FCFF versus FCFE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</si>
</sst>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6" formatCode="0.0%"/>
    <numFmt numFmtId="169" formatCode="[$$-409]#,##0.00"/>
    <numFmt numFmtId="170" formatCode="[$$-409]#,##0.00_ ;\-[$$-409]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  <font>
      <b/>
      <sz val="9"/>
      <name val="Genev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/>
    <xf numFmtId="9" fontId="0" fillId="2" borderId="0" xfId="0" applyNumberFormat="1" applyFill="1"/>
    <xf numFmtId="10" fontId="0" fillId="2" borderId="0" xfId="0" applyNumberFormat="1" applyFill="1"/>
    <xf numFmtId="166" fontId="0" fillId="2" borderId="0" xfId="0" applyNumberFormat="1" applyFill="1"/>
    <xf numFmtId="44" fontId="0" fillId="2" borderId="0" xfId="3" applyFont="1" applyFill="1"/>
    <xf numFmtId="10" fontId="0" fillId="2" borderId="0" xfId="2" applyNumberFormat="1" applyFont="1" applyFill="1"/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2" fillId="3" borderId="0" xfId="0" applyFont="1" applyFill="1"/>
    <xf numFmtId="9" fontId="2" fillId="3" borderId="0" xfId="0" applyNumberFormat="1" applyFont="1" applyFill="1" applyAlignment="1">
      <alignment horizontal="center"/>
    </xf>
    <xf numFmtId="44" fontId="2" fillId="3" borderId="0" xfId="3" applyFont="1" applyFill="1"/>
    <xf numFmtId="169" fontId="0" fillId="2" borderId="0" xfId="3" applyNumberFormat="1" applyFont="1" applyFill="1"/>
    <xf numFmtId="169" fontId="2" fillId="3" borderId="0" xfId="3" applyNumberFormat="1" applyFont="1" applyFill="1"/>
    <xf numFmtId="170" fontId="0" fillId="2" borderId="0" xfId="3" applyNumberFormat="1" applyFont="1" applyFill="1"/>
    <xf numFmtId="170" fontId="2" fillId="3" borderId="0" xfId="3" applyNumberFormat="1" applyFont="1" applyFill="1"/>
    <xf numFmtId="169" fontId="2" fillId="3" borderId="0" xfId="3" applyNumberFormat="1" applyFont="1" applyFill="1" applyAlignment="1">
      <alignment horizontal="center"/>
    </xf>
    <xf numFmtId="170" fontId="0" fillId="2" borderId="0" xfId="3" applyNumberFormat="1" applyFont="1" applyFill="1" applyBorder="1"/>
    <xf numFmtId="169" fontId="0" fillId="2" borderId="0" xfId="3" applyNumberFormat="1" applyFont="1" applyFill="1" applyBorder="1"/>
    <xf numFmtId="169" fontId="0" fillId="2" borderId="0" xfId="0" applyNumberFormat="1" applyFill="1" applyBorder="1"/>
    <xf numFmtId="0" fontId="6" fillId="2" borderId="1" xfId="0" applyFont="1" applyFill="1" applyBorder="1" applyAlignment="1">
      <alignment horizontal="center"/>
    </xf>
    <xf numFmtId="0" fontId="2" fillId="2" borderId="0" xfId="0" applyFont="1" applyFill="1"/>
    <xf numFmtId="169" fontId="2" fillId="2" borderId="0" xfId="3" applyNumberFormat="1" applyFont="1" applyFill="1"/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3</xdr:col>
      <xdr:colOff>297531</xdr:colOff>
      <xdr:row>3</xdr:row>
      <xdr:rowOff>32466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tabSelected="1" workbookViewId="0">
      <selection activeCell="I6" sqref="I6"/>
    </sheetView>
  </sheetViews>
  <sheetFormatPr defaultColWidth="9.109375" defaultRowHeight="14.4"/>
  <cols>
    <col min="1" max="1" width="9.109375" style="3"/>
    <col min="2" max="2" width="17.33203125" style="3" bestFit="1" customWidth="1"/>
    <col min="3" max="3" width="15.33203125" style="3" customWidth="1"/>
    <col min="4" max="9" width="12.21875" style="3" customWidth="1"/>
    <col min="10" max="10" width="9.77734375" style="3" customWidth="1"/>
    <col min="11" max="11" width="21" style="3" bestFit="1" customWidth="1"/>
    <col min="12" max="18" width="11.109375" style="3" customWidth="1"/>
    <col min="19" max="16384" width="9.109375" style="3"/>
  </cols>
  <sheetData>
    <row r="1" spans="2:14">
      <c r="C1" s="2"/>
    </row>
    <row r="2" spans="2:14">
      <c r="C2" s="2"/>
    </row>
    <row r="3" spans="2:14">
      <c r="C3" s="2"/>
    </row>
    <row r="4" spans="2:14">
      <c r="B4" s="1" t="s">
        <v>0</v>
      </c>
      <c r="C4" s="2"/>
    </row>
    <row r="6" spans="2:14">
      <c r="B6" s="25" t="s">
        <v>1</v>
      </c>
      <c r="C6" s="25"/>
      <c r="D6" s="25"/>
    </row>
    <row r="7" spans="2:14">
      <c r="B7" s="12" t="s">
        <v>26</v>
      </c>
      <c r="D7" s="21">
        <v>120</v>
      </c>
    </row>
    <row r="8" spans="2:14">
      <c r="B8" s="12" t="s">
        <v>34</v>
      </c>
      <c r="D8" s="15">
        <v>0.12</v>
      </c>
    </row>
    <row r="9" spans="2:14">
      <c r="B9" s="12" t="s">
        <v>33</v>
      </c>
      <c r="D9" s="15">
        <v>0.06</v>
      </c>
    </row>
    <row r="10" spans="2:14" ht="13.2" customHeight="1">
      <c r="B10" s="12" t="s">
        <v>27</v>
      </c>
      <c r="D10" s="15">
        <v>0.35</v>
      </c>
    </row>
    <row r="11" spans="2:14" ht="13.2" customHeight="1">
      <c r="B11" s="12" t="s">
        <v>28</v>
      </c>
      <c r="D11" s="15">
        <v>0.3</v>
      </c>
      <c r="N11" s="4"/>
    </row>
    <row r="12" spans="2:14" ht="13.2" customHeight="1">
      <c r="B12" s="12" t="s">
        <v>29</v>
      </c>
      <c r="D12" s="15">
        <v>0.11</v>
      </c>
      <c r="N12" s="5"/>
    </row>
    <row r="13" spans="2:14" ht="13.2" customHeight="1">
      <c r="B13" s="12" t="s">
        <v>30</v>
      </c>
      <c r="D13" s="15">
        <v>0.08</v>
      </c>
    </row>
    <row r="14" spans="2:14" ht="13.2" customHeight="1">
      <c r="B14" s="12" t="s">
        <v>32</v>
      </c>
      <c r="D14" s="15">
        <v>0.14000000000000001</v>
      </c>
      <c r="N14" s="5"/>
    </row>
    <row r="15" spans="2:14" ht="13.2" customHeight="1">
      <c r="B15" s="12" t="s">
        <v>31</v>
      </c>
      <c r="D15" s="15">
        <v>0.11</v>
      </c>
    </row>
    <row r="16" spans="2:14" ht="13.2" customHeight="1">
      <c r="B16" s="12"/>
      <c r="D16" s="6"/>
    </row>
    <row r="17" spans="2:18" ht="13.2" customHeight="1">
      <c r="B17" s="11" t="s">
        <v>36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3.2" customHeight="1">
      <c r="B18" s="12"/>
      <c r="D18" s="6"/>
    </row>
    <row r="19" spans="2:18">
      <c r="C19" s="13">
        <v>0</v>
      </c>
      <c r="D19" s="13">
        <v>1</v>
      </c>
      <c r="E19" s="13">
        <v>2</v>
      </c>
      <c r="F19" s="13">
        <v>3</v>
      </c>
      <c r="G19" s="13">
        <v>4</v>
      </c>
      <c r="H19" s="13">
        <v>5</v>
      </c>
      <c r="I19" s="13" t="s">
        <v>2</v>
      </c>
      <c r="L19" s="13">
        <v>0</v>
      </c>
      <c r="M19" s="13">
        <v>1</v>
      </c>
      <c r="N19" s="13">
        <v>2</v>
      </c>
      <c r="O19" s="13">
        <v>3</v>
      </c>
      <c r="P19" s="13">
        <v>4</v>
      </c>
      <c r="Q19" s="13">
        <v>5</v>
      </c>
      <c r="R19" s="13" t="s">
        <v>2</v>
      </c>
    </row>
    <row r="20" spans="2:18">
      <c r="B20" s="3" t="s">
        <v>35</v>
      </c>
      <c r="D20" s="6">
        <f>$D$8</f>
        <v>0.12</v>
      </c>
      <c r="E20" s="6">
        <f t="shared" ref="E20:H20" si="0">$D$8</f>
        <v>0.12</v>
      </c>
      <c r="F20" s="6">
        <f t="shared" si="0"/>
        <v>0.12</v>
      </c>
      <c r="G20" s="6">
        <f t="shared" si="0"/>
        <v>0.12</v>
      </c>
      <c r="H20" s="6">
        <f t="shared" si="0"/>
        <v>0.12</v>
      </c>
      <c r="I20" s="6">
        <f>$D$9</f>
        <v>0.06</v>
      </c>
      <c r="K20" s="3" t="s">
        <v>4</v>
      </c>
      <c r="L20" s="19">
        <f>C22</f>
        <v>120</v>
      </c>
      <c r="M20" s="19">
        <f>D22</f>
        <v>134.4</v>
      </c>
      <c r="N20" s="19">
        <f>E22</f>
        <v>150.52800000000002</v>
      </c>
      <c r="O20" s="19">
        <f>F22</f>
        <v>168.59136000000004</v>
      </c>
      <c r="P20" s="19">
        <f>G22</f>
        <v>188.82232320000006</v>
      </c>
      <c r="Q20" s="19">
        <f>H22</f>
        <v>211.48100198400007</v>
      </c>
      <c r="R20" s="19">
        <f>I22</f>
        <v>224.16986210304009</v>
      </c>
    </row>
    <row r="21" spans="2:18">
      <c r="B21" s="3" t="s">
        <v>3</v>
      </c>
      <c r="D21" s="7">
        <f>D20/$D$14</f>
        <v>0.85714285714285698</v>
      </c>
      <c r="E21" s="7">
        <f>E20/$D$14</f>
        <v>0.85714285714285698</v>
      </c>
      <c r="F21" s="7">
        <f>F20/$D$14</f>
        <v>0.85714285714285698</v>
      </c>
      <c r="G21" s="7">
        <f>G20/$D$14</f>
        <v>0.85714285714285698</v>
      </c>
      <c r="H21" s="7">
        <f>H20/$D$14</f>
        <v>0.85714285714285698</v>
      </c>
      <c r="I21" s="8">
        <f>I20/D15</f>
        <v>0.54545454545454541</v>
      </c>
      <c r="K21" s="3" t="s">
        <v>14</v>
      </c>
      <c r="L21" s="19"/>
      <c r="M21" s="19">
        <f>$D$13*L35</f>
        <v>32.756395028782265</v>
      </c>
      <c r="N21" s="19">
        <f>$D$13*M35</f>
        <v>35.490117208447508</v>
      </c>
      <c r="O21" s="19">
        <f>$D$13*N35</f>
        <v>38.441039661949738</v>
      </c>
      <c r="P21" s="19">
        <f>$D$13*O35</f>
        <v>41.624962046646282</v>
      </c>
      <c r="Q21" s="19">
        <f>$D$13*P35</f>
        <v>45.058629497605729</v>
      </c>
      <c r="R21" s="19">
        <f>$D$13*Q35</f>
        <v>48.759758070376819</v>
      </c>
    </row>
    <row r="22" spans="2:18">
      <c r="B22" s="3" t="s">
        <v>4</v>
      </c>
      <c r="C22" s="17">
        <f>D7</f>
        <v>120</v>
      </c>
      <c r="D22" s="17">
        <f>C22*(1+$D$8)</f>
        <v>134.4</v>
      </c>
      <c r="E22" s="17">
        <f>D22*(1+$D$8)</f>
        <v>150.52800000000002</v>
      </c>
      <c r="F22" s="17">
        <f>E22*(1+$D$8)</f>
        <v>168.59136000000004</v>
      </c>
      <c r="G22" s="17">
        <f>F22*(1+$D$8)</f>
        <v>188.82232320000006</v>
      </c>
      <c r="H22" s="17">
        <f>G22*(1+$D$8)</f>
        <v>211.48100198400007</v>
      </c>
      <c r="I22" s="17">
        <f>H22*(1+D9)</f>
        <v>224.16986210304009</v>
      </c>
      <c r="K22" s="3" t="s">
        <v>15</v>
      </c>
      <c r="L22" s="19"/>
      <c r="M22" s="19">
        <f t="shared" ref="M22:R22" si="1">M20-M21</f>
        <v>101.64360497121774</v>
      </c>
      <c r="N22" s="19">
        <f t="shared" si="1"/>
        <v>115.03788279155251</v>
      </c>
      <c r="O22" s="19">
        <f t="shared" si="1"/>
        <v>130.15032033805031</v>
      </c>
      <c r="P22" s="19">
        <f t="shared" si="1"/>
        <v>147.19736115335377</v>
      </c>
      <c r="Q22" s="19">
        <f t="shared" si="1"/>
        <v>166.42237248639435</v>
      </c>
      <c r="R22" s="19">
        <f t="shared" si="1"/>
        <v>175.41010403266327</v>
      </c>
    </row>
    <row r="23" spans="2:18">
      <c r="B23" s="3" t="s">
        <v>5</v>
      </c>
      <c r="C23" s="17"/>
      <c r="D23" s="17">
        <f t="shared" ref="D23:I23" si="2">$D$10*D22</f>
        <v>47.04</v>
      </c>
      <c r="E23" s="17">
        <f t="shared" si="2"/>
        <v>52.684800000000003</v>
      </c>
      <c r="F23" s="17">
        <f t="shared" si="2"/>
        <v>59.006976000000009</v>
      </c>
      <c r="G23" s="17">
        <f t="shared" si="2"/>
        <v>66.087813120000021</v>
      </c>
      <c r="H23" s="17">
        <f t="shared" si="2"/>
        <v>74.018350694400027</v>
      </c>
      <c r="I23" s="17">
        <f t="shared" si="2"/>
        <v>78.459451736064025</v>
      </c>
      <c r="K23" s="3" t="s">
        <v>5</v>
      </c>
      <c r="L23" s="19"/>
      <c r="M23" s="19">
        <f t="shared" ref="M23:R23" si="3">$D$10*M22</f>
        <v>35.575261739926205</v>
      </c>
      <c r="N23" s="19">
        <f t="shared" si="3"/>
        <v>40.263258977043371</v>
      </c>
      <c r="O23" s="19">
        <f t="shared" si="3"/>
        <v>45.552612118317604</v>
      </c>
      <c r="P23" s="19">
        <f t="shared" si="3"/>
        <v>51.519076403673814</v>
      </c>
      <c r="Q23" s="19">
        <f t="shared" si="3"/>
        <v>58.24783037023802</v>
      </c>
      <c r="R23" s="19">
        <f t="shared" si="3"/>
        <v>61.393536411432137</v>
      </c>
    </row>
    <row r="24" spans="2:18">
      <c r="B24" s="3" t="s">
        <v>6</v>
      </c>
      <c r="C24" s="17"/>
      <c r="D24" s="17">
        <f t="shared" ref="D24:I24" si="4">D22-D23</f>
        <v>87.360000000000014</v>
      </c>
      <c r="E24" s="17">
        <f t="shared" si="4"/>
        <v>97.843200000000024</v>
      </c>
      <c r="F24" s="17">
        <f t="shared" si="4"/>
        <v>109.58438400000003</v>
      </c>
      <c r="G24" s="17">
        <f t="shared" si="4"/>
        <v>122.73451008000004</v>
      </c>
      <c r="H24" s="17">
        <f t="shared" si="4"/>
        <v>137.46265128960005</v>
      </c>
      <c r="I24" s="17">
        <f t="shared" si="4"/>
        <v>145.71041036697608</v>
      </c>
      <c r="K24" s="3" t="s">
        <v>16</v>
      </c>
      <c r="L24" s="19"/>
      <c r="M24" s="19">
        <f t="shared" ref="M24:R24" si="5">M22-M23</f>
        <v>66.068343231291536</v>
      </c>
      <c r="N24" s="19">
        <f t="shared" si="5"/>
        <v>74.774623814509141</v>
      </c>
      <c r="O24" s="19">
        <f t="shared" si="5"/>
        <v>84.597708219732709</v>
      </c>
      <c r="P24" s="19">
        <f t="shared" si="5"/>
        <v>95.67828474967996</v>
      </c>
      <c r="Q24" s="19">
        <f t="shared" si="5"/>
        <v>108.17454211615633</v>
      </c>
      <c r="R24" s="19">
        <f t="shared" si="5"/>
        <v>114.01656762123113</v>
      </c>
    </row>
    <row r="25" spans="2:18">
      <c r="B25" s="3" t="s">
        <v>7</v>
      </c>
      <c r="C25" s="17"/>
      <c r="D25" s="17">
        <f t="shared" ref="D25:I25" si="6">D21*D24</f>
        <v>74.88</v>
      </c>
      <c r="E25" s="17">
        <f t="shared" si="6"/>
        <v>83.865600000000001</v>
      </c>
      <c r="F25" s="17">
        <f t="shared" si="6"/>
        <v>93.929472000000004</v>
      </c>
      <c r="G25" s="17">
        <f t="shared" si="6"/>
        <v>105.20100864000001</v>
      </c>
      <c r="H25" s="17">
        <f t="shared" si="6"/>
        <v>117.82512967680002</v>
      </c>
      <c r="I25" s="17">
        <f t="shared" si="6"/>
        <v>79.478405654714223</v>
      </c>
      <c r="K25" s="3" t="s">
        <v>7</v>
      </c>
      <c r="L25" s="19"/>
      <c r="M25" s="19">
        <f>D25</f>
        <v>74.88</v>
      </c>
      <c r="N25" s="19">
        <f>E25</f>
        <v>83.865600000000001</v>
      </c>
      <c r="O25" s="19">
        <f>F25</f>
        <v>93.929472000000004</v>
      </c>
      <c r="P25" s="19">
        <f>G25</f>
        <v>105.20100864000001</v>
      </c>
      <c r="Q25" s="19">
        <f>H25</f>
        <v>117.82512967680002</v>
      </c>
      <c r="R25" s="19">
        <f>I25</f>
        <v>79.478405654714223</v>
      </c>
    </row>
    <row r="26" spans="2:18">
      <c r="B26" s="14" t="s">
        <v>8</v>
      </c>
      <c r="C26" s="18"/>
      <c r="D26" s="18">
        <f t="shared" ref="D26:I26" si="7">D24-D25</f>
        <v>12.480000000000018</v>
      </c>
      <c r="E26" s="18">
        <f t="shared" si="7"/>
        <v>13.977600000000024</v>
      </c>
      <c r="F26" s="18">
        <f t="shared" si="7"/>
        <v>15.654912000000024</v>
      </c>
      <c r="G26" s="18">
        <f t="shared" si="7"/>
        <v>17.533501440000023</v>
      </c>
      <c r="H26" s="18">
        <f t="shared" si="7"/>
        <v>19.637521612800029</v>
      </c>
      <c r="I26" s="18">
        <f t="shared" si="7"/>
        <v>66.232004712261855</v>
      </c>
      <c r="K26" s="3" t="s">
        <v>17</v>
      </c>
      <c r="L26" s="19"/>
      <c r="M26" s="19">
        <f>M35-L35</f>
        <v>34.171527245815469</v>
      </c>
      <c r="N26" s="19">
        <f>N35-M35</f>
        <v>36.886530668777937</v>
      </c>
      <c r="O26" s="19">
        <f>O35-N35</f>
        <v>39.799029808706734</v>
      </c>
      <c r="P26" s="19">
        <f>P35-O35</f>
        <v>42.920843136993085</v>
      </c>
      <c r="Q26" s="19">
        <f>Q35-P35</f>
        <v>46.264107159638684</v>
      </c>
      <c r="R26" s="19">
        <f>R35-Q35</f>
        <v>36.569818552782635</v>
      </c>
    </row>
    <row r="27" spans="2:18">
      <c r="B27" s="26"/>
      <c r="C27" s="27"/>
      <c r="D27" s="27"/>
      <c r="E27" s="27"/>
      <c r="F27" s="27"/>
      <c r="G27" s="27"/>
      <c r="H27" s="27"/>
      <c r="I27" s="27"/>
      <c r="K27" s="16" t="s">
        <v>18</v>
      </c>
      <c r="L27" s="20"/>
      <c r="M27" s="20">
        <f>M24-M25+M26</f>
        <v>25.359870477107009</v>
      </c>
      <c r="N27" s="20">
        <f>N24-N25+N26</f>
        <v>27.795554483287077</v>
      </c>
      <c r="O27" s="20">
        <f>O24-O25+O26</f>
        <v>30.46726602843944</v>
      </c>
      <c r="P27" s="20">
        <f>P24-P25+P26</f>
        <v>33.398119246673033</v>
      </c>
      <c r="Q27" s="20">
        <f>Q24-Q25+Q26</f>
        <v>36.613519598994998</v>
      </c>
      <c r="R27" s="20">
        <f>R24-R25+R26</f>
        <v>71.107980519299545</v>
      </c>
    </row>
    <row r="28" spans="2:18">
      <c r="I28" s="17"/>
    </row>
    <row r="29" spans="2:18">
      <c r="B29" s="3" t="s">
        <v>9</v>
      </c>
      <c r="C29" s="17"/>
      <c r="D29" s="17"/>
      <c r="E29" s="17"/>
      <c r="F29" s="17"/>
      <c r="G29" s="17"/>
      <c r="H29" s="17">
        <f>I26/(R40-I20)</f>
        <v>2031.6565862657008</v>
      </c>
      <c r="I29" s="17"/>
      <c r="K29" s="3" t="s">
        <v>19</v>
      </c>
      <c r="L29" s="19"/>
      <c r="M29" s="19"/>
      <c r="N29" s="19"/>
      <c r="O29" s="19"/>
      <c r="P29" s="19"/>
      <c r="Q29" s="19">
        <f>R27/(R37-D9)</f>
        <v>1422.1596103859908</v>
      </c>
      <c r="R29" s="19"/>
    </row>
    <row r="30" spans="2:18">
      <c r="B30" s="3" t="s">
        <v>10</v>
      </c>
      <c r="C30" s="17"/>
      <c r="D30" s="17">
        <f>D26/(1+M40)^D19</f>
        <v>11.422295442064817</v>
      </c>
      <c r="E30" s="17">
        <f>E26/(1+N40)^E19</f>
        <v>11.708741437957714</v>
      </c>
      <c r="F30" s="17">
        <f>F26/(1+O40)^F19</f>
        <v>12.002370868124325</v>
      </c>
      <c r="G30" s="17">
        <f>G26/(1+P40)^G19</f>
        <v>12.303363877264546</v>
      </c>
      <c r="H30" s="17">
        <f>(H26+H29)/(1+Q40)^H19</f>
        <v>1317.4130212405164</v>
      </c>
      <c r="I30" s="17"/>
      <c r="K30" s="3" t="s">
        <v>10</v>
      </c>
      <c r="L30" s="22"/>
      <c r="M30" s="22">
        <f>M27/(1+M37)^D19</f>
        <v>22.846730159555861</v>
      </c>
      <c r="N30" s="22">
        <f>N27/(1+N37)^E19</f>
        <v>22.559495563093151</v>
      </c>
      <c r="O30" s="22">
        <f>O27/(1+O37)^F19</f>
        <v>22.27740233179815</v>
      </c>
      <c r="P30" s="22">
        <f>P27/(1+P37)^G19</f>
        <v>22.000375625971806</v>
      </c>
      <c r="Q30" s="22">
        <f>(Q27+Q29)/(1+Q37)^H19</f>
        <v>865.71085132573023</v>
      </c>
      <c r="R30" s="19"/>
    </row>
    <row r="31" spans="2:18">
      <c r="I31" s="17"/>
    </row>
    <row r="32" spans="2:18">
      <c r="B32" s="3" t="s">
        <v>11</v>
      </c>
      <c r="C32" s="23">
        <f>SUM(D30:H30)</f>
        <v>1364.8497928659278</v>
      </c>
      <c r="D32" s="24">
        <f>SUM(E30:H30)*(1+M40)</f>
        <v>1478.7548836853127</v>
      </c>
      <c r="E32" s="24">
        <f>SUM(F30:H30)*(1+N40)^2</f>
        <v>1601.7099859145726</v>
      </c>
      <c r="F32" s="24">
        <f>SUM(G30:H30)*(1+O40)^3</f>
        <v>1734.3734186102618</v>
      </c>
      <c r="G32" s="24">
        <f>SUM(H30)*(1+P40)^4</f>
        <v>1877.442895733572</v>
      </c>
      <c r="H32" s="24">
        <f>H29</f>
        <v>2031.6565862657008</v>
      </c>
      <c r="I32" s="17"/>
      <c r="K32" s="3" t="s">
        <v>12</v>
      </c>
      <c r="L32" s="22">
        <f>SUM(M30:Q30)</f>
        <v>955.39485500614921</v>
      </c>
      <c r="M32" s="22"/>
      <c r="N32" s="22"/>
      <c r="O32" s="22"/>
      <c r="P32" s="22"/>
      <c r="Q32" s="22"/>
      <c r="R32" s="19"/>
    </row>
    <row r="33" spans="2:18">
      <c r="B33" s="3" t="s">
        <v>12</v>
      </c>
      <c r="C33" s="23">
        <f>(1-D11)*C32</f>
        <v>955.39485500614944</v>
      </c>
      <c r="D33" s="24"/>
      <c r="E33" s="24"/>
      <c r="F33" s="24"/>
      <c r="G33" s="24"/>
      <c r="H33" s="24"/>
      <c r="I33" s="9"/>
      <c r="L33" s="19"/>
      <c r="M33" s="19"/>
      <c r="N33" s="19"/>
      <c r="O33" s="19"/>
      <c r="P33" s="19"/>
      <c r="Q33" s="19"/>
      <c r="R33" s="19"/>
    </row>
    <row r="34" spans="2:18">
      <c r="B34" s="3" t="s">
        <v>13</v>
      </c>
      <c r="C34" s="23">
        <f>D11*C32</f>
        <v>409.45493785977834</v>
      </c>
      <c r="D34" s="24"/>
      <c r="E34" s="24"/>
      <c r="F34" s="24"/>
      <c r="G34" s="24"/>
      <c r="H34" s="24"/>
      <c r="K34" s="3" t="s">
        <v>20</v>
      </c>
      <c r="L34" s="19"/>
      <c r="M34" s="19"/>
      <c r="N34" s="19"/>
      <c r="O34" s="19"/>
      <c r="P34" s="19"/>
      <c r="Q34" s="19"/>
      <c r="R34" s="19"/>
    </row>
    <row r="35" spans="2:18">
      <c r="K35" s="3" t="s">
        <v>21</v>
      </c>
      <c r="L35" s="19">
        <f>C34</f>
        <v>409.45493785977834</v>
      </c>
      <c r="M35" s="19">
        <f>$D$11*D32</f>
        <v>443.62646510559381</v>
      </c>
      <c r="N35" s="19">
        <f>$D$11*E32</f>
        <v>480.51299577437175</v>
      </c>
      <c r="O35" s="19">
        <f>$D$11*F32</f>
        <v>520.31202558307848</v>
      </c>
      <c r="P35" s="19">
        <f>$D$11*G32</f>
        <v>563.23286872007156</v>
      </c>
      <c r="Q35" s="19">
        <f>$D$11*H32</f>
        <v>609.49697587971025</v>
      </c>
      <c r="R35" s="19">
        <f>Q35*(1+D9)</f>
        <v>646.06679443249288</v>
      </c>
    </row>
    <row r="37" spans="2:18">
      <c r="K37" s="3" t="s">
        <v>22</v>
      </c>
      <c r="M37" s="7">
        <f>D12</f>
        <v>0.11</v>
      </c>
      <c r="N37" s="6">
        <f>M37</f>
        <v>0.11</v>
      </c>
      <c r="O37" s="7">
        <f>N37</f>
        <v>0.11</v>
      </c>
      <c r="P37" s="7">
        <f>O37</f>
        <v>0.11</v>
      </c>
      <c r="Q37" s="7">
        <f>P37</f>
        <v>0.11</v>
      </c>
      <c r="R37" s="7">
        <f>Q37</f>
        <v>0.11</v>
      </c>
    </row>
    <row r="38" spans="2:18">
      <c r="K38" s="3" t="s">
        <v>23</v>
      </c>
      <c r="M38" s="7">
        <f>D13</f>
        <v>0.08</v>
      </c>
      <c r="N38" s="6">
        <f t="shared" ref="N38:R40" si="8">M38</f>
        <v>0.08</v>
      </c>
      <c r="O38" s="7">
        <f t="shared" si="8"/>
        <v>0.08</v>
      </c>
      <c r="P38" s="7">
        <f t="shared" si="8"/>
        <v>0.08</v>
      </c>
      <c r="Q38" s="7">
        <f t="shared" si="8"/>
        <v>0.08</v>
      </c>
      <c r="R38" s="7">
        <f>Q38</f>
        <v>0.08</v>
      </c>
    </row>
    <row r="39" spans="2:18">
      <c r="K39" s="3" t="s">
        <v>24</v>
      </c>
      <c r="M39" s="7">
        <f>M38*(1-D10)</f>
        <v>5.2000000000000005E-2</v>
      </c>
      <c r="N39" s="6">
        <f t="shared" si="8"/>
        <v>5.2000000000000005E-2</v>
      </c>
      <c r="O39" s="7">
        <f t="shared" si="8"/>
        <v>5.2000000000000005E-2</v>
      </c>
      <c r="P39" s="7">
        <f t="shared" si="8"/>
        <v>5.2000000000000005E-2</v>
      </c>
      <c r="Q39" s="7">
        <f t="shared" si="8"/>
        <v>5.2000000000000005E-2</v>
      </c>
      <c r="R39" s="7">
        <f t="shared" si="8"/>
        <v>5.2000000000000005E-2</v>
      </c>
    </row>
    <row r="40" spans="2:18">
      <c r="K40" s="3" t="s">
        <v>25</v>
      </c>
      <c r="M40" s="10">
        <f>(1-D11)*M37+D11*M39</f>
        <v>9.2600000000000002E-2</v>
      </c>
      <c r="N40" s="7">
        <f t="shared" si="8"/>
        <v>9.2600000000000002E-2</v>
      </c>
      <c r="O40" s="7">
        <f t="shared" si="8"/>
        <v>9.2600000000000002E-2</v>
      </c>
      <c r="P40" s="7">
        <f t="shared" si="8"/>
        <v>9.2600000000000002E-2</v>
      </c>
      <c r="Q40" s="7">
        <f t="shared" si="8"/>
        <v>9.2600000000000002E-2</v>
      </c>
      <c r="R40" s="10">
        <f>(1-D11)*R37+D11*R39</f>
        <v>9.2600000000000002E-2</v>
      </c>
    </row>
  </sheetData>
  <mergeCells count="2">
    <mergeCell ref="B17:R17"/>
    <mergeCell ref="B6:D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2016-07-19T09:57:50Z</dcterms:created>
  <dcterms:modified xsi:type="dcterms:W3CDTF">2018-10-15T18:39:31Z</dcterms:modified>
</cp:coreProperties>
</file>